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1"/>
  </bookViews>
  <sheets>
    <sheet name="do 40000" sheetId="1" r:id="rId1"/>
    <sheet name="preko 40000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<sst xmlns="http://schemas.openxmlformats.org/spreadsheetml/2006/main" count="152" uniqueCount="87">
  <si>
    <t>p</t>
  </si>
  <si>
    <t>p/100</t>
  </si>
  <si>
    <t>M-penzija</t>
  </si>
  <si>
    <t>Umanjena penzija</t>
  </si>
  <si>
    <t>kamatni faktor</t>
  </si>
  <si>
    <t>konformna stopa</t>
  </si>
  <si>
    <t>stanje uloga</t>
  </si>
  <si>
    <t>godina (n)</t>
  </si>
  <si>
    <t>period-meseci</t>
  </si>
  <si>
    <t>Usklađivanje:</t>
  </si>
  <si>
    <t>2014.godina</t>
  </si>
  <si>
    <t>pu</t>
  </si>
  <si>
    <t>pu/100</t>
  </si>
  <si>
    <t>2015.god.</t>
  </si>
  <si>
    <t>UKUPNO</t>
  </si>
  <si>
    <t>2016.god.</t>
  </si>
  <si>
    <t>2017.god.</t>
  </si>
  <si>
    <t>Visina penzije da je redovno usklađivana:</t>
  </si>
  <si>
    <t>dinara</t>
  </si>
  <si>
    <t>Godina 2017.</t>
  </si>
  <si>
    <r>
      <t>p</t>
    </r>
    <r>
      <rPr>
        <vertAlign val="subscript"/>
        <sz val="10"/>
        <rFont val="Arial"/>
        <family val="2"/>
      </rPr>
      <t>km</t>
    </r>
  </si>
  <si>
    <r>
      <t>r</t>
    </r>
    <r>
      <rPr>
        <vertAlign val="subscript"/>
        <sz val="10"/>
        <rFont val="Arial"/>
        <family val="2"/>
      </rPr>
      <t>k</t>
    </r>
  </si>
  <si>
    <t>kam.fakt.</t>
  </si>
  <si>
    <t>za 38 mes.</t>
  </si>
  <si>
    <t>za 36 mes.</t>
  </si>
  <si>
    <t>za 24 mes.</t>
  </si>
  <si>
    <t>za 12 mes.</t>
  </si>
  <si>
    <t>Godina 2014.</t>
  </si>
  <si>
    <t>Godina 2015.</t>
  </si>
  <si>
    <t>Godina 2016</t>
  </si>
  <si>
    <t>za neusklađeni deo penzije</t>
  </si>
  <si>
    <t>U   K   U   P   A   N       G   U   B   I   T   A   K:</t>
  </si>
  <si>
    <t>din.</t>
  </si>
  <si>
    <t>Broj neisplaćenih penzija za 3 godine:</t>
  </si>
  <si>
    <t>Stvarni procenat smanjenja penzije:</t>
  </si>
  <si>
    <t xml:space="preserve">Elementi za obračun gubitaka zbog </t>
  </si>
  <si>
    <t>neusklađivanja</t>
  </si>
  <si>
    <t>Smanjenje penzije (SP)</t>
  </si>
  <si>
    <t>granična penzija</t>
  </si>
  <si>
    <t>PU/100</t>
  </si>
  <si>
    <t>(PU)stopa umanjenja (%)</t>
  </si>
  <si>
    <t xml:space="preserve"> stopa na štedni ulog (%)</t>
  </si>
  <si>
    <t>procenat godišnjeg usklađivanja (%)</t>
  </si>
  <si>
    <t>Obračun realnih  gubitaka penzionera sa određenom visinom penzije.</t>
  </si>
  <si>
    <r>
      <t xml:space="preserve">%. </t>
    </r>
    <r>
      <rPr>
        <sz val="10"/>
        <rFont val="Arial"/>
        <family val="0"/>
      </rPr>
      <t xml:space="preserve"> Za veće penzije realni procenat umanjenja je veći-postoji namerno ugrađena progresija gubitaka.</t>
    </r>
  </si>
  <si>
    <t xml:space="preserve">                                       Za penzije do visine od 40.000 dinara</t>
  </si>
  <si>
    <t>Uvodne napomene:</t>
  </si>
  <si>
    <t>Nije neophodno "bistriti" matematičke obrasce i formule da bi penzioner video koliko je realno pokraden smanjivanjem penzije.</t>
  </si>
  <si>
    <t>Uzet je period: novembar 2014. do kraja decembra 2017.godine. Kamatne stope koje su korištene za revalorizaciju "otetog" dela penzije</t>
  </si>
  <si>
    <t>Ovo je pomoćna tabela, rezultat je u crvenoj tabeli gubitaka</t>
  </si>
  <si>
    <t xml:space="preserve">Najvažniji deo tabele obojen je plavo. Potrebno je samo uneti tačan iznos penzije u polje. M-penzija, kolika je bila pre umanjenja i stisnuti Enter. </t>
  </si>
  <si>
    <t>Zatim se čitaju rezultati gubitaka u crvenoj tabeli. Sve je tačno, kontrolisano, simulirano a ponešto i ručno provereno.</t>
  </si>
  <si>
    <t>Direktni gubici ovog penzionera za period od 3 godine i dva meseca.</t>
  </si>
  <si>
    <t>Izgubljeni  prihod od kamata na oročeni štedni ulog od otetog dela</t>
  </si>
  <si>
    <t>Direktni gubici zbog prestanka usklađivanja penzije-prosečno 4,0% god.</t>
  </si>
  <si>
    <t>Izgubljeni kamatni prinosi u visini kamate na oročeni štedni ulog:za neusklađeni deo</t>
  </si>
  <si>
    <t>Za veće penzije broj izgubljenih penzija je veći</t>
  </si>
  <si>
    <t>Za penzije veće od 40.000 dinara sledi sličan algoritam , za par dana, dok nađem malo vremena. Tamo će posebno biti zanimljivo.</t>
  </si>
  <si>
    <t>su približno tačne, čak i niže od kamata koje je davala npr. Banka PŠ..Radi se o komercijalnoj revalorizaciji preko kamata na štedne uloge.</t>
  </si>
  <si>
    <t>Varijanta, da je "oteti" iznos penzioner po sopstvenoj volji, svakog početka meseca stavljao na banku kao oročeni depozit na godinu dana.</t>
  </si>
  <si>
    <t>Takođe, iznos koji  sleduje za redovno usklađivanje penzije po zakonu a koje usklađivanje je izostalo, na isti način je svedeno na realnu vrednost.</t>
  </si>
  <si>
    <t>ili prebaciti kursor u bilo koju praznu ćeliju.</t>
  </si>
  <si>
    <t>Obrada je vršena po tzv. Anticipativnoj metodi računanja interesa, konformnom metodom i godišnjim kapitalisanjem što za kolege</t>
  </si>
  <si>
    <t>nije od značaja da bi videli svoju realnu "propast" koju im je država nametnula.</t>
  </si>
  <si>
    <t>meseci</t>
  </si>
  <si>
    <t>fiksni gubitak</t>
  </si>
  <si>
    <t>stopa umanjenja u% (SU)</t>
  </si>
  <si>
    <t>SU/100</t>
  </si>
  <si>
    <t>Komentar.</t>
  </si>
  <si>
    <t xml:space="preserve">Kolega penzioner sa penzijom u septembru 2014. godine od 55.000,00 dinara trebao je za novu 2018.godinu imati penziju od 64.342,22 dinara, da  mu </t>
  </si>
  <si>
    <t>penzija nije smanjena nego da mu je ista usklađivana po zakonu o PIO ( švajcarski model).</t>
  </si>
  <si>
    <t>Njegova penzija iznosi 47.950.00 dinara.</t>
  </si>
  <si>
    <t>Penzija koju prima, manja je od penzije koja mu po Zakonu o PIO sleduje za 25,48%.</t>
  </si>
  <si>
    <t>Ukupni realni gubitak ovog penzionera u njegovoj kupovnoj moći za ovih 38 meseci je 475.349,49 dinara. Za toliko bi bilo njegovo veće materijalno blagostanje</t>
  </si>
  <si>
    <t>da mu država nije "zavukla ruku u džep" i bukvalno ga popljačkala.</t>
  </si>
  <si>
    <t>Zamislite da neko pokuca na vrata u Novogodišnjoj 2018.godini i baci na sto ovom penzioneru njegovu realnu imovinu koja mu je "oteta" u iznosu od</t>
  </si>
  <si>
    <t>475.349,49 dinara. Baš bi lepo bilo!</t>
  </si>
  <si>
    <t xml:space="preserve">Ili penzioneru koji je primao 75.000,00 dinara da bace 747.730,85 dinara </t>
  </si>
  <si>
    <t xml:space="preserve">Ili penzioneru koji je primao 100.000,00,00 dinara da bace 1.088.207,56 dinara </t>
  </si>
  <si>
    <t xml:space="preserve">Ili penzioneru koji je primao 45.000,00 dinara da bace 339.158,80 dinara. Npr. Ovaj penzioner nije primio 7,54 svojih penzija odnosno godišnje  </t>
  </si>
  <si>
    <t>nije primio 2,51 iznosa penzija. Recimo svake godine primi penziju za maj pa onda u oktobru za mesec septembar. To je surova realnost.</t>
  </si>
  <si>
    <t>Napomena.</t>
  </si>
  <si>
    <t>U obradi nije uzeta u obzir povišica penzije koja je bila realno ispod jednog procenta, kao i povišica za 6,57% što nam je dobro sve poznato.</t>
  </si>
  <si>
    <t>Kraj oktobra 2016.godine</t>
  </si>
  <si>
    <t>Moje ime je Rajko</t>
  </si>
  <si>
    <t>PRATITE -BIRAJTE ODGOVARAJUĆE Sheet-ove</t>
  </si>
  <si>
    <t xml:space="preserve">                                       Za penzije  veće od  40.000 dinara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</si>
</sst>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1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0"/>
      <name val="Arial"/>
      <family val="0"/>
    </font>
    <font>
      <b/>
      <sz val="12"/>
      <color indexed="12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wrapText="1"/>
    </xf>
    <xf numFmtId="4" fontId="8" fillId="0" borderId="26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4" fontId="10" fillId="0" borderId="31" xfId="0" applyNumberFormat="1" applyFont="1" applyBorder="1" applyAlignment="1">
      <alignment/>
    </xf>
    <xf numFmtId="2" fontId="10" fillId="0" borderId="32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" fontId="3" fillId="0" borderId="3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" fontId="12" fillId="0" borderId="15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4" fontId="12" fillId="0" borderId="2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" fontId="11" fillId="0" borderId="32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14" fillId="0" borderId="26" xfId="0" applyFont="1" applyBorder="1" applyAlignment="1">
      <alignment/>
    </xf>
    <xf numFmtId="0" fontId="1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34">
      <selection activeCell="G3" sqref="G3"/>
    </sheetView>
  </sheetViews>
  <sheetFormatPr defaultColWidth="9.140625" defaultRowHeight="12.75"/>
  <cols>
    <col min="6" max="6" width="10.00390625" style="0" customWidth="1"/>
    <col min="7" max="7" width="9.7109375" style="0" customWidth="1"/>
    <col min="8" max="8" width="10.28125" style="0" customWidth="1"/>
    <col min="9" max="9" width="12.7109375" style="0" bestFit="1" customWidth="1"/>
    <col min="13" max="13" width="11.421875" style="0" bestFit="1" customWidth="1"/>
    <col min="14" max="14" width="11.28125" style="0" customWidth="1"/>
  </cols>
  <sheetData>
    <row r="2" ht="12.75">
      <c r="B2" t="s">
        <v>85</v>
      </c>
    </row>
    <row r="3" spans="1:12" ht="14.25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4.25">
      <c r="A5" s="58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4.25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4.25">
      <c r="A8" s="58" t="s">
        <v>60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4.25">
      <c r="A9" s="58" t="s">
        <v>50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4.25">
      <c r="A10" s="58" t="s">
        <v>61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5">
      <c r="A11" s="7" t="s">
        <v>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58"/>
    </row>
    <row r="12" spans="1:12" ht="14.25">
      <c r="A12" s="59" t="s">
        <v>62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4.25">
      <c r="A13" s="59" t="s">
        <v>63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7" spans="3:6" ht="20.25">
      <c r="C17" s="6" t="s">
        <v>45</v>
      </c>
      <c r="D17" s="6"/>
      <c r="E17" s="6"/>
      <c r="F17" s="6"/>
    </row>
    <row r="18" spans="2:10" ht="51.75" thickBot="1">
      <c r="B18" s="2" t="s">
        <v>41</v>
      </c>
      <c r="D18" s="1" t="s">
        <v>42</v>
      </c>
      <c r="G18" t="s">
        <v>5</v>
      </c>
      <c r="J18" t="s">
        <v>49</v>
      </c>
    </row>
    <row r="19" spans="2:14" ht="12.75">
      <c r="B19" s="20" t="s">
        <v>0</v>
      </c>
      <c r="C19" s="21" t="s">
        <v>1</v>
      </c>
      <c r="D19" s="21" t="s">
        <v>11</v>
      </c>
      <c r="E19" s="24" t="s">
        <v>12</v>
      </c>
      <c r="J19" s="10"/>
      <c r="K19" s="11" t="s">
        <v>9</v>
      </c>
      <c r="L19" s="11"/>
      <c r="M19" s="11" t="s">
        <v>14</v>
      </c>
      <c r="N19" s="12"/>
    </row>
    <row r="20" spans="2:14" ht="13.5" thickBot="1">
      <c r="B20" s="25">
        <v>4.5</v>
      </c>
      <c r="C20" s="26">
        <f>B20/100</f>
        <v>0.045</v>
      </c>
      <c r="D20" s="26">
        <v>4</v>
      </c>
      <c r="E20" s="27">
        <f>D20/100</f>
        <v>0.04</v>
      </c>
      <c r="J20" s="13" t="s">
        <v>10</v>
      </c>
      <c r="K20" s="14"/>
      <c r="L20" s="14">
        <f>F29*E20</f>
        <v>1542.4535999999998</v>
      </c>
      <c r="M20" s="5">
        <f>L20*2</f>
        <v>3084.9071999999996</v>
      </c>
      <c r="N20" s="15"/>
    </row>
    <row r="21" spans="10:14" ht="12.75">
      <c r="J21" s="13" t="s">
        <v>13</v>
      </c>
      <c r="K21" s="14"/>
      <c r="L21" s="14">
        <f>(F29+L20)*E20</f>
        <v>1604.151744</v>
      </c>
      <c r="M21" s="5">
        <f>L21*36</f>
        <v>57749.462784</v>
      </c>
      <c r="N21" s="15"/>
    </row>
    <row r="22" spans="7:14" ht="13.5" thickBot="1">
      <c r="G22">
        <f>((1+C20)^(1/12))-1</f>
        <v>0.0036748094004368514</v>
      </c>
      <c r="J22" s="13" t="s">
        <v>15</v>
      </c>
      <c r="K22" s="14"/>
      <c r="L22" s="14">
        <f>(F29+L20+L21)*E20</f>
        <v>1668.31781376</v>
      </c>
      <c r="M22" s="5">
        <f>L22*24</f>
        <v>40039.62753024</v>
      </c>
      <c r="N22" s="15"/>
    </row>
    <row r="23" spans="4:14" ht="51.75" thickBot="1">
      <c r="D23" s="22" t="s">
        <v>40</v>
      </c>
      <c r="E23" s="23" t="s">
        <v>39</v>
      </c>
      <c r="G23" t="s">
        <v>6</v>
      </c>
      <c r="J23" s="19" t="s">
        <v>16</v>
      </c>
      <c r="K23" s="3"/>
      <c r="L23" s="3">
        <f>(F29+L20+L21+L22)*E20</f>
        <v>1735.0505263103998</v>
      </c>
      <c r="M23" s="5">
        <f>L23*12</f>
        <v>20820.6063157248</v>
      </c>
      <c r="N23" s="15"/>
    </row>
    <row r="24" spans="4:14" ht="16.5" thickBot="1" thickTop="1">
      <c r="D24" s="8">
        <v>22</v>
      </c>
      <c r="E24" s="9">
        <f>D24/100</f>
        <v>0.22</v>
      </c>
      <c r="J24" s="13"/>
      <c r="K24" s="14"/>
      <c r="L24" s="14"/>
      <c r="M24" s="44">
        <f>SUM(M20:M23)</f>
        <v>121694.6038299648</v>
      </c>
      <c r="N24" s="15"/>
    </row>
    <row r="25" spans="2:14" ht="13.5" thickBot="1">
      <c r="B25">
        <f>1+G22</f>
        <v>1.0036748094004369</v>
      </c>
      <c r="J25" s="13"/>
      <c r="K25" s="14"/>
      <c r="L25" s="14"/>
      <c r="M25" s="14"/>
      <c r="N25" s="15"/>
    </row>
    <row r="26" spans="10:14" ht="13.5" thickBot="1">
      <c r="J26" s="54" t="s">
        <v>17</v>
      </c>
      <c r="K26" s="55"/>
      <c r="L26" s="55"/>
      <c r="M26" s="55"/>
      <c r="N26" s="56"/>
    </row>
    <row r="27" spans="10:14" ht="16.5" thickBot="1">
      <c r="J27" s="41"/>
      <c r="K27" s="42"/>
      <c r="L27" s="42"/>
      <c r="M27" s="57">
        <f>F29+L20+L21+L22+L23</f>
        <v>45111.313684070396</v>
      </c>
      <c r="N27" s="43" t="s">
        <v>18</v>
      </c>
    </row>
    <row r="28" spans="2:10" ht="39.75" thickBot="1" thickTop="1">
      <c r="B28" s="2" t="s">
        <v>7</v>
      </c>
      <c r="D28" s="1" t="s">
        <v>4</v>
      </c>
      <c r="F28" s="28" t="s">
        <v>2</v>
      </c>
      <c r="G28" s="29" t="s">
        <v>37</v>
      </c>
      <c r="H28" s="29" t="s">
        <v>3</v>
      </c>
      <c r="I28" s="30" t="s">
        <v>38</v>
      </c>
      <c r="J28" s="31" t="s">
        <v>38</v>
      </c>
    </row>
    <row r="29" spans="6:10" ht="16.5" thickBot="1" thickTop="1">
      <c r="F29" s="32">
        <v>38561.34</v>
      </c>
      <c r="G29" s="33">
        <f>(F29-J29)*E24</f>
        <v>2983.494799999999</v>
      </c>
      <c r="H29" s="34">
        <f>F29-G29</f>
        <v>35577.845199999996</v>
      </c>
      <c r="I29" s="35">
        <v>40000</v>
      </c>
      <c r="J29" s="36">
        <v>25000</v>
      </c>
    </row>
    <row r="30" spans="11:13" ht="13.5" thickTop="1">
      <c r="K30" s="10" t="s">
        <v>35</v>
      </c>
      <c r="L30" s="11"/>
      <c r="M30" s="12"/>
    </row>
    <row r="31" spans="4:13" ht="12.75">
      <c r="D31">
        <f>B25*((B25^38)-1)/(B25-1)</f>
        <v>40.85063783520245</v>
      </c>
      <c r="K31" s="13" t="s">
        <v>36</v>
      </c>
      <c r="L31" s="14"/>
      <c r="M31" s="15"/>
    </row>
    <row r="32" spans="3:13" ht="16.5" thickBot="1">
      <c r="C32" s="7" t="s">
        <v>43</v>
      </c>
      <c r="D32" s="7"/>
      <c r="E32" s="7"/>
      <c r="F32" s="7"/>
      <c r="G32" s="7"/>
      <c r="H32" s="7"/>
      <c r="K32" s="13" t="s">
        <v>20</v>
      </c>
      <c r="L32" s="14">
        <f>((1.04^(1/12))-1)</f>
        <v>0.0032737397821989145</v>
      </c>
      <c r="M32" s="15"/>
    </row>
    <row r="33" spans="2:13" ht="15.75">
      <c r="B33" s="45" t="s">
        <v>52</v>
      </c>
      <c r="C33" s="46"/>
      <c r="D33" s="46"/>
      <c r="E33" s="46"/>
      <c r="F33" s="46"/>
      <c r="G33" s="46"/>
      <c r="H33" s="46"/>
      <c r="I33" s="47">
        <f>A35*G29</f>
        <v>113372.80239999996</v>
      </c>
      <c r="K33" s="13" t="s">
        <v>21</v>
      </c>
      <c r="L33" s="14">
        <f>1+L32</f>
        <v>1.003273739782199</v>
      </c>
      <c r="M33" s="15"/>
    </row>
    <row r="34" spans="1:13" ht="25.5">
      <c r="A34" s="1" t="s">
        <v>8</v>
      </c>
      <c r="B34" s="48" t="s">
        <v>53</v>
      </c>
      <c r="C34" s="49"/>
      <c r="D34" s="49"/>
      <c r="E34" s="49"/>
      <c r="F34" s="49"/>
      <c r="G34" s="49"/>
      <c r="H34" s="49"/>
      <c r="I34" s="50">
        <f>G29*D31-(G29*38)</f>
        <v>8504.863158009772</v>
      </c>
      <c r="K34" s="13" t="s">
        <v>22</v>
      </c>
      <c r="L34" s="14">
        <f>L33*((L33^38)-1)/(L33-1)</f>
        <v>40.526740470798075</v>
      </c>
      <c r="M34" s="15" t="s">
        <v>23</v>
      </c>
    </row>
    <row r="35" spans="1:13" ht="14.25">
      <c r="A35">
        <v>38</v>
      </c>
      <c r="B35" s="48" t="s">
        <v>54</v>
      </c>
      <c r="C35" s="49"/>
      <c r="D35" s="49"/>
      <c r="E35" s="49"/>
      <c r="F35" s="49"/>
      <c r="G35" s="49"/>
      <c r="H35" s="49"/>
      <c r="I35" s="50">
        <f>M24+0</f>
        <v>121694.6038299648</v>
      </c>
      <c r="K35" s="13" t="s">
        <v>22</v>
      </c>
      <c r="L35" s="14">
        <f>L33*((L33^36)-1)/(L33-1)</f>
        <v>38.26595287913287</v>
      </c>
      <c r="M35" s="15" t="s">
        <v>24</v>
      </c>
    </row>
    <row r="36" spans="2:13" ht="14.25">
      <c r="B36" s="48" t="s">
        <v>55</v>
      </c>
      <c r="C36" s="49"/>
      <c r="D36" s="49"/>
      <c r="E36" s="49"/>
      <c r="F36" s="49"/>
      <c r="G36" s="49"/>
      <c r="H36" s="49"/>
      <c r="I36" s="50"/>
      <c r="K36" s="13" t="s">
        <v>22</v>
      </c>
      <c r="L36" s="14">
        <f>L33*((L33^24)-1)/(L33-1)</f>
        <v>25.007221896921788</v>
      </c>
      <c r="M36" s="15" t="s">
        <v>25</v>
      </c>
    </row>
    <row r="37" spans="2:13" ht="15" thickBot="1">
      <c r="B37" s="48" t="s">
        <v>27</v>
      </c>
      <c r="C37" s="49"/>
      <c r="D37" s="49" t="s">
        <v>30</v>
      </c>
      <c r="E37" s="49"/>
      <c r="F37" s="49"/>
      <c r="G37" s="49"/>
      <c r="H37" s="49"/>
      <c r="I37" s="50">
        <f>(L20*L34)-(L20*38)</f>
        <v>3897.379935448189</v>
      </c>
      <c r="K37" s="16" t="s">
        <v>22</v>
      </c>
      <c r="L37" s="17">
        <f>L33*((L33^12)-1)/(L33-1)</f>
        <v>12.258442106334174</v>
      </c>
      <c r="M37" s="18" t="s">
        <v>26</v>
      </c>
    </row>
    <row r="38" spans="2:9" ht="14.25">
      <c r="B38" s="48" t="s">
        <v>28</v>
      </c>
      <c r="C38" s="49"/>
      <c r="D38" s="49" t="s">
        <v>30</v>
      </c>
      <c r="E38" s="49"/>
      <c r="F38" s="49"/>
      <c r="G38" s="49"/>
      <c r="H38" s="49"/>
      <c r="I38" s="50">
        <f>(L21*L35)-(L21*36)</f>
        <v>3634.9322628828086</v>
      </c>
    </row>
    <row r="39" spans="2:9" ht="14.25">
      <c r="B39" s="48" t="s">
        <v>29</v>
      </c>
      <c r="C39" s="49"/>
      <c r="D39" s="49" t="s">
        <v>30</v>
      </c>
      <c r="E39" s="49"/>
      <c r="F39" s="49"/>
      <c r="G39" s="49"/>
      <c r="H39" s="49"/>
      <c r="I39" s="50">
        <f>(L22*L36)-(L22*24)</f>
        <v>1680.3662330437583</v>
      </c>
    </row>
    <row r="40" spans="2:9" ht="15" thickBot="1">
      <c r="B40" s="51" t="s">
        <v>19</v>
      </c>
      <c r="C40" s="52"/>
      <c r="D40" s="52" t="s">
        <v>30</v>
      </c>
      <c r="E40" s="52"/>
      <c r="F40" s="52"/>
      <c r="G40" s="52"/>
      <c r="H40" s="52"/>
      <c r="I40" s="53">
        <f>(L23*L37)-(L23*12)</f>
        <v>448.4101126158748</v>
      </c>
    </row>
    <row r="41" spans="2:10" ht="16.5" thickBot="1">
      <c r="B41" s="70" t="s">
        <v>31</v>
      </c>
      <c r="C41" s="71"/>
      <c r="D41" s="71"/>
      <c r="E41" s="71"/>
      <c r="F41" s="71"/>
      <c r="G41" s="37"/>
      <c r="H41" s="38"/>
      <c r="I41" s="39">
        <f>SUM(I33:I40)</f>
        <v>253233.35793196515</v>
      </c>
      <c r="J41" s="4" t="s">
        <v>32</v>
      </c>
    </row>
    <row r="42" ht="14.25" thickBot="1" thickTop="1"/>
    <row r="43" spans="2:7" ht="16.5" thickBot="1">
      <c r="B43" t="s">
        <v>33</v>
      </c>
      <c r="F43" s="40">
        <f>I41/F29</f>
        <v>6.567026922092571</v>
      </c>
      <c r="G43" t="s">
        <v>56</v>
      </c>
    </row>
    <row r="44" spans="2:7" ht="16.5" thickBot="1">
      <c r="B44" t="s">
        <v>34</v>
      </c>
      <c r="F44" s="40">
        <f>((H29/M27)*100)-100</f>
        <v>-21.133209621950854</v>
      </c>
      <c r="G44" s="7" t="s">
        <v>44</v>
      </c>
    </row>
    <row r="47" ht="12.75">
      <c r="B47" t="s">
        <v>57</v>
      </c>
    </row>
  </sheetData>
  <sheetProtection/>
  <printOptions/>
  <pageMargins left="0.28" right="0.49" top="0.47" bottom="0.39" header="0.37" footer="0.26"/>
  <pageSetup horizontalDpi="300" verticalDpi="300" orientation="landscape" paperSize="9" r:id="rId7"/>
  <legacyDrawing r:id="rId6"/>
  <oleObjects>
    <oleObject progId="Equation.3" shapeId="136691" r:id="rId1"/>
    <oleObject progId="Equation.3" shapeId="154926" r:id="rId2"/>
    <oleObject progId="Equation.3" shapeId="166578" r:id="rId3"/>
    <oleObject progId="Equation.3" shapeId="189055" r:id="rId4"/>
    <oleObject progId="Equation.3" shapeId="328905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N53"/>
  <sheetViews>
    <sheetView tabSelected="1" zoomScalePageLayoutView="0" workbookViewId="0" topLeftCell="A10">
      <selection activeCell="G32" sqref="G32"/>
    </sheetView>
  </sheetViews>
  <sheetFormatPr defaultColWidth="9.140625" defaultRowHeight="12.75"/>
  <cols>
    <col min="1" max="1" width="5.421875" style="0" customWidth="1"/>
    <col min="6" max="6" width="11.7109375" style="0" customWidth="1"/>
    <col min="7" max="7" width="10.8515625" style="0" customWidth="1"/>
    <col min="8" max="8" width="10.28125" style="0" customWidth="1"/>
    <col min="9" max="9" width="14.57421875" style="0" customWidth="1"/>
    <col min="12" max="12" width="8.421875" style="0" customWidth="1"/>
    <col min="13" max="13" width="19.00390625" style="0" customWidth="1"/>
    <col min="14" max="14" width="11.28125" style="0" customWidth="1"/>
  </cols>
  <sheetData>
    <row r="3" spans="3:6" ht="20.25">
      <c r="C3" s="6" t="s">
        <v>86</v>
      </c>
      <c r="D3" s="6"/>
      <c r="E3" s="6"/>
      <c r="F3" s="6"/>
    </row>
    <row r="4" spans="2:10" ht="51.75" thickBot="1">
      <c r="B4" s="2" t="s">
        <v>41</v>
      </c>
      <c r="D4" s="1" t="s">
        <v>42</v>
      </c>
      <c r="G4" t="s">
        <v>5</v>
      </c>
      <c r="J4" t="s">
        <v>49</v>
      </c>
    </row>
    <row r="5" spans="2:13" ht="12.75">
      <c r="B5" s="20" t="s">
        <v>0</v>
      </c>
      <c r="C5" s="21" t="s">
        <v>1</v>
      </c>
      <c r="D5" s="21" t="s">
        <v>11</v>
      </c>
      <c r="E5" s="24" t="s">
        <v>12</v>
      </c>
      <c r="J5" s="10"/>
      <c r="K5" s="11" t="s">
        <v>9</v>
      </c>
      <c r="L5" s="11"/>
      <c r="M5" s="11" t="s">
        <v>14</v>
      </c>
    </row>
    <row r="6" spans="2:13" ht="13.5" thickBot="1">
      <c r="B6" s="25">
        <v>4.5</v>
      </c>
      <c r="C6" s="26">
        <f>B6/100</f>
        <v>0.045</v>
      </c>
      <c r="D6" s="26">
        <v>4</v>
      </c>
      <c r="E6" s="27">
        <f>D6/100</f>
        <v>0.04</v>
      </c>
      <c r="J6" s="13" t="s">
        <v>10</v>
      </c>
      <c r="K6" s="14"/>
      <c r="L6" s="14">
        <f>F15*E6</f>
        <v>2800</v>
      </c>
      <c r="M6" s="5">
        <f>L6*2</f>
        <v>5600</v>
      </c>
    </row>
    <row r="7" spans="10:13" ht="12.75">
      <c r="J7" s="13" t="s">
        <v>13</v>
      </c>
      <c r="K7" s="14"/>
      <c r="L7" s="14">
        <f>(F15+L6)*E6</f>
        <v>2912</v>
      </c>
      <c r="M7" s="5">
        <f>L7*36</f>
        <v>104832</v>
      </c>
    </row>
    <row r="8" spans="7:13" ht="13.5" thickBot="1">
      <c r="G8">
        <f>((1+C6)^(1/12))-1</f>
        <v>0.0036748094004368514</v>
      </c>
      <c r="J8" s="13" t="s">
        <v>15</v>
      </c>
      <c r="K8" s="14"/>
      <c r="L8" s="14">
        <f>(F15+L6+L7)*E6</f>
        <v>3028.48</v>
      </c>
      <c r="M8" s="5">
        <f>L8*24</f>
        <v>72683.52</v>
      </c>
    </row>
    <row r="9" spans="4:13" ht="51.75" thickBot="1">
      <c r="D9" s="22" t="s">
        <v>40</v>
      </c>
      <c r="E9" s="23" t="s">
        <v>39</v>
      </c>
      <c r="G9" t="s">
        <v>6</v>
      </c>
      <c r="J9" s="19" t="s">
        <v>16</v>
      </c>
      <c r="K9" s="3"/>
      <c r="L9" s="3">
        <f>(F15+L6+L7+L8)*E6</f>
        <v>3149.6192</v>
      </c>
      <c r="M9" s="5">
        <f>L9*12</f>
        <v>37795.4304</v>
      </c>
    </row>
    <row r="10" spans="4:13" ht="16.5" thickBot="1" thickTop="1">
      <c r="D10" s="8">
        <v>22</v>
      </c>
      <c r="E10" s="9">
        <f>D10/100</f>
        <v>0.22</v>
      </c>
      <c r="J10" s="13"/>
      <c r="K10" s="14"/>
      <c r="L10" s="14"/>
      <c r="M10" s="44">
        <f>SUM(M6:M9)</f>
        <v>220910.95040000003</v>
      </c>
    </row>
    <row r="11" spans="2:13" ht="13.5" thickBot="1">
      <c r="B11">
        <f>1+G8</f>
        <v>1.0036748094004369</v>
      </c>
      <c r="J11" s="13"/>
      <c r="K11" s="14"/>
      <c r="L11" s="14"/>
      <c r="M11" s="14"/>
    </row>
    <row r="12" spans="10:13" ht="13.5" thickBot="1">
      <c r="J12" s="54" t="s">
        <v>17</v>
      </c>
      <c r="K12" s="55"/>
      <c r="L12" s="55"/>
      <c r="M12" s="55"/>
    </row>
    <row r="13" spans="10:13" ht="16.5" thickBot="1">
      <c r="J13" s="41"/>
      <c r="K13" s="42"/>
      <c r="L13" s="42"/>
      <c r="M13" s="57">
        <f>F15+L6+L7+L8+L9</f>
        <v>81890.0992</v>
      </c>
    </row>
    <row r="14" spans="2:10" ht="39.75" thickBot="1" thickTop="1">
      <c r="B14" s="2" t="s">
        <v>7</v>
      </c>
      <c r="D14" s="1" t="s">
        <v>4</v>
      </c>
      <c r="F14" s="28" t="s">
        <v>2</v>
      </c>
      <c r="G14" s="29" t="s">
        <v>37</v>
      </c>
      <c r="H14" s="29" t="s">
        <v>3</v>
      </c>
      <c r="I14" s="30" t="s">
        <v>38</v>
      </c>
      <c r="J14" s="31" t="s">
        <v>38</v>
      </c>
    </row>
    <row r="15" spans="6:10" ht="16.5" thickBot="1" thickTop="1">
      <c r="F15" s="32">
        <v>70000</v>
      </c>
      <c r="G15" s="33">
        <f>K27+(F15-I15)*M27</f>
        <v>10800</v>
      </c>
      <c r="H15" s="34">
        <f>F15-G15</f>
        <v>59200</v>
      </c>
      <c r="I15" s="35">
        <v>40000</v>
      </c>
      <c r="J15" s="36">
        <v>25000</v>
      </c>
    </row>
    <row r="16" spans="11:14" ht="13.5" thickTop="1">
      <c r="K16" s="10" t="s">
        <v>35</v>
      </c>
      <c r="L16" s="11"/>
      <c r="M16" s="12"/>
      <c r="N16" s="12"/>
    </row>
    <row r="17" spans="4:14" ht="12.75">
      <c r="D17">
        <f>B11*((B11^38)-1)/(B11-1)</f>
        <v>40.85063783520245</v>
      </c>
      <c r="K17" s="13" t="s">
        <v>36</v>
      </c>
      <c r="L17" s="14"/>
      <c r="M17" s="15"/>
      <c r="N17" s="15"/>
    </row>
    <row r="18" spans="3:14" ht="16.5" thickBot="1">
      <c r="C18" s="7" t="s">
        <v>43</v>
      </c>
      <c r="D18" s="7"/>
      <c r="E18" s="7"/>
      <c r="F18" s="7"/>
      <c r="G18" s="7"/>
      <c r="H18" s="7"/>
      <c r="K18" s="13" t="s">
        <v>20</v>
      </c>
      <c r="L18" s="14">
        <f>((1.04^(1/12))-1)</f>
        <v>0.0032737397821989145</v>
      </c>
      <c r="M18" s="15"/>
      <c r="N18" s="15"/>
    </row>
    <row r="19" spans="2:14" ht="15.75">
      <c r="B19" s="45" t="s">
        <v>52</v>
      </c>
      <c r="C19" s="46"/>
      <c r="D19" s="46"/>
      <c r="E19" s="46"/>
      <c r="F19" s="46"/>
      <c r="G19" s="46"/>
      <c r="H19" s="46"/>
      <c r="I19" s="47">
        <f>A26*G15</f>
        <v>410400</v>
      </c>
      <c r="K19" s="13" t="s">
        <v>21</v>
      </c>
      <c r="L19" s="14">
        <f>1+L18</f>
        <v>1.003273739782199</v>
      </c>
      <c r="M19" s="15"/>
      <c r="N19" s="15"/>
    </row>
    <row r="20" spans="2:14" ht="14.25">
      <c r="B20" s="48" t="s">
        <v>53</v>
      </c>
      <c r="C20" s="49"/>
      <c r="D20" s="49"/>
      <c r="E20" s="49"/>
      <c r="F20" s="49"/>
      <c r="G20" s="49"/>
      <c r="H20" s="49"/>
      <c r="I20" s="50">
        <f>G15*D17-(G15*38)</f>
        <v>30786.888620186422</v>
      </c>
      <c r="K20" s="13" t="s">
        <v>22</v>
      </c>
      <c r="L20" s="14">
        <f>L19*((L19^38)-1)/(L19-1)</f>
        <v>40.526740470798075</v>
      </c>
      <c r="M20" s="15" t="s">
        <v>23</v>
      </c>
      <c r="N20" s="15"/>
    </row>
    <row r="21" spans="2:14" ht="14.25">
      <c r="B21" s="48" t="s">
        <v>54</v>
      </c>
      <c r="C21" s="49"/>
      <c r="D21" s="49"/>
      <c r="E21" s="49"/>
      <c r="F21" s="49"/>
      <c r="G21" s="49"/>
      <c r="H21" s="49"/>
      <c r="I21" s="50">
        <f>M10+0</f>
        <v>220910.95040000003</v>
      </c>
      <c r="K21" s="13" t="s">
        <v>22</v>
      </c>
      <c r="L21" s="14">
        <f>L19*((L19^36)-1)/(L19-1)</f>
        <v>38.26595287913287</v>
      </c>
      <c r="M21" s="15" t="s">
        <v>24</v>
      </c>
      <c r="N21" s="15"/>
    </row>
    <row r="22" spans="2:14" ht="15" thickBot="1">
      <c r="B22" s="48" t="s">
        <v>55</v>
      </c>
      <c r="C22" s="49"/>
      <c r="D22" s="49"/>
      <c r="E22" s="49"/>
      <c r="F22" s="49"/>
      <c r="G22" s="49"/>
      <c r="H22" s="49"/>
      <c r="I22" s="50"/>
      <c r="K22" s="13" t="s">
        <v>22</v>
      </c>
      <c r="L22" s="14">
        <f>L19*((L19^24)-1)/(L19-1)</f>
        <v>25.007221896921788</v>
      </c>
      <c r="M22" s="15" t="s">
        <v>25</v>
      </c>
      <c r="N22" s="15"/>
    </row>
    <row r="23" spans="2:14" ht="15" thickBot="1">
      <c r="B23" s="48" t="s">
        <v>27</v>
      </c>
      <c r="C23" s="49"/>
      <c r="D23" s="49" t="s">
        <v>30</v>
      </c>
      <c r="E23" s="49"/>
      <c r="F23" s="49"/>
      <c r="G23" s="49"/>
      <c r="H23" s="49"/>
      <c r="I23" s="50">
        <f>(L6*L20)-(L6*38)</f>
        <v>7074.873318234604</v>
      </c>
      <c r="K23" s="16" t="s">
        <v>22</v>
      </c>
      <c r="L23" s="17">
        <f>L19*((L19^12)-1)/(L19-1)</f>
        <v>12.258442106334174</v>
      </c>
      <c r="M23" s="18" t="s">
        <v>26</v>
      </c>
      <c r="N23" s="56"/>
    </row>
    <row r="24" spans="2:14" ht="15" thickBot="1">
      <c r="B24" s="48" t="s">
        <v>28</v>
      </c>
      <c r="C24" s="49"/>
      <c r="D24" s="49" t="s">
        <v>30</v>
      </c>
      <c r="E24" s="49"/>
      <c r="F24" s="49"/>
      <c r="G24" s="49"/>
      <c r="H24" s="49"/>
      <c r="I24" s="50">
        <f>(L7*L21)-(L7*36)</f>
        <v>6598.454784034911</v>
      </c>
      <c r="N24" s="43" t="s">
        <v>18</v>
      </c>
    </row>
    <row r="25" spans="1:9" ht="26.25" thickBot="1">
      <c r="A25" s="2" t="s">
        <v>64</v>
      </c>
      <c r="B25" s="48" t="s">
        <v>29</v>
      </c>
      <c r="C25" s="49"/>
      <c r="D25" s="49" t="s">
        <v>30</v>
      </c>
      <c r="E25" s="49"/>
      <c r="F25" s="49"/>
      <c r="G25" s="49"/>
      <c r="H25" s="49"/>
      <c r="I25" s="50">
        <f>(L8*L22)-(L8*24)</f>
        <v>3050.3513703896897</v>
      </c>
    </row>
    <row r="26" spans="1:13" ht="51.75" thickBot="1">
      <c r="A26" s="61">
        <v>38</v>
      </c>
      <c r="B26" s="51" t="s">
        <v>19</v>
      </c>
      <c r="C26" s="52"/>
      <c r="D26" s="52" t="s">
        <v>30</v>
      </c>
      <c r="E26" s="52"/>
      <c r="F26" s="52"/>
      <c r="G26" s="52"/>
      <c r="H26" s="52"/>
      <c r="I26" s="53">
        <f>(L9*L23)-(L9*12)</f>
        <v>813.9942201985614</v>
      </c>
      <c r="K26" s="62" t="s">
        <v>65</v>
      </c>
      <c r="L26" s="63" t="s">
        <v>66</v>
      </c>
      <c r="M26" s="12" t="s">
        <v>67</v>
      </c>
    </row>
    <row r="27" spans="2:13" ht="17.25" thickBot="1" thickTop="1">
      <c r="B27" s="70" t="s">
        <v>31</v>
      </c>
      <c r="C27" s="71"/>
      <c r="D27" s="71"/>
      <c r="E27" s="71"/>
      <c r="F27" s="71"/>
      <c r="G27" s="37"/>
      <c r="H27" s="38"/>
      <c r="I27" s="39">
        <f>SUM(I19:I26)</f>
        <v>679635.5127130442</v>
      </c>
      <c r="J27" s="4" t="s">
        <v>32</v>
      </c>
      <c r="K27" s="64">
        <f>(I15-J15)*E10</f>
        <v>3300</v>
      </c>
      <c r="L27" s="65">
        <v>25</v>
      </c>
      <c r="M27" s="66">
        <f>L27/100</f>
        <v>0.25</v>
      </c>
    </row>
    <row r="28" ht="14.25" thickBot="1" thickTop="1"/>
    <row r="29" spans="2:7" ht="16.5" thickBot="1">
      <c r="B29" t="s">
        <v>33</v>
      </c>
      <c r="F29" s="40">
        <f>I27/F15</f>
        <v>9.709078753043489</v>
      </c>
      <c r="G29" t="s">
        <v>56</v>
      </c>
    </row>
    <row r="30" spans="2:7" ht="16.5" thickBot="1">
      <c r="B30" t="s">
        <v>34</v>
      </c>
      <c r="F30" s="40">
        <f>((H15/M13)*100)-100</f>
        <v>-27.70798841577175</v>
      </c>
      <c r="G30" s="7" t="s">
        <v>44</v>
      </c>
    </row>
    <row r="33" ht="12.75">
      <c r="B33" t="s">
        <v>57</v>
      </c>
    </row>
    <row r="35" ht="12.75">
      <c r="B35" t="s">
        <v>68</v>
      </c>
    </row>
    <row r="36" ht="12.75">
      <c r="B36" t="s">
        <v>69</v>
      </c>
    </row>
    <row r="37" ht="12.75">
      <c r="B37" t="s">
        <v>70</v>
      </c>
    </row>
    <row r="38" ht="12.75">
      <c r="B38" t="s">
        <v>71</v>
      </c>
    </row>
    <row r="39" ht="12.75">
      <c r="B39" t="s">
        <v>72</v>
      </c>
    </row>
    <row r="40" ht="12.75">
      <c r="B40" t="s">
        <v>73</v>
      </c>
    </row>
    <row r="41" ht="12.75">
      <c r="B41" t="s">
        <v>74</v>
      </c>
    </row>
    <row r="42" ht="12.75">
      <c r="B42" t="s">
        <v>75</v>
      </c>
    </row>
    <row r="43" ht="12.75">
      <c r="B43" t="s">
        <v>76</v>
      </c>
    </row>
    <row r="44" ht="12.75">
      <c r="B44" t="s">
        <v>77</v>
      </c>
    </row>
    <row r="45" ht="12.75">
      <c r="B45" t="s">
        <v>78</v>
      </c>
    </row>
    <row r="46" ht="12.75">
      <c r="B46" t="s">
        <v>79</v>
      </c>
    </row>
    <row r="47" ht="12.75">
      <c r="B47" t="s">
        <v>80</v>
      </c>
    </row>
    <row r="49" ht="13.5" thickBot="1">
      <c r="B49" t="s">
        <v>81</v>
      </c>
    </row>
    <row r="50" spans="2:13" ht="13.5" thickBot="1">
      <c r="B50" s="67" t="s">
        <v>82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</row>
    <row r="52" ht="12.75">
      <c r="B52" t="s">
        <v>83</v>
      </c>
    </row>
    <row r="53" ht="12.75">
      <c r="B53" t="s">
        <v>84</v>
      </c>
    </row>
  </sheetData>
  <sheetProtection/>
  <printOptions/>
  <pageMargins left="0.3" right="0.49" top="0.47" bottom="0.39" header="0.26" footer="0.26"/>
  <pageSetup horizontalDpi="300" verticalDpi="300" orientation="landscape" paperSize="9" r:id="rId7"/>
  <legacyDrawing r:id="rId6"/>
  <oleObjects>
    <oleObject progId="Equation.3" shapeId="448152" r:id="rId1"/>
    <oleObject progId="Equation.3" shapeId="448153" r:id="rId2"/>
    <oleObject progId="Equation.3" shapeId="448154" r:id="rId3"/>
    <oleObject progId="Equation.3" shapeId="448155" r:id="rId4"/>
    <oleObject progId="Equation.3" shapeId="44815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Krajisnik</dc:creator>
  <cp:keywords/>
  <dc:description/>
  <cp:lastModifiedBy>Dragica</cp:lastModifiedBy>
  <cp:lastPrinted>2016-10-27T16:04:04Z</cp:lastPrinted>
  <dcterms:created xsi:type="dcterms:W3CDTF">2016-10-26T18:04:04Z</dcterms:created>
  <dcterms:modified xsi:type="dcterms:W3CDTF">2016-10-28T07:50:09Z</dcterms:modified>
  <cp:category/>
  <cp:version/>
  <cp:contentType/>
  <cp:contentStatus/>
</cp:coreProperties>
</file>